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2019 Millage Rate" sheetId="1" r:id="rId1"/>
  </sheets>
  <externalReferences>
    <externalReference r:id="rId4"/>
  </externalReferences>
  <definedNames>
    <definedName name="_xlnm.Print_Area" localSheetId="0">'2019 Millage Rate'!$A$1:$G$74</definedName>
  </definedNames>
  <calcPr fullCalcOnLoad="1"/>
</workbook>
</file>

<file path=xl/comments1.xml><?xml version="1.0" encoding="utf-8"?>
<comments xmlns="http://schemas.openxmlformats.org/spreadsheetml/2006/main">
  <authors>
    <author>jfunk</author>
  </authors>
  <commentList>
    <comment ref="A24" authorId="0">
      <text>
        <r>
          <rPr>
            <b/>
            <sz val="8"/>
            <rFont val="Tahoma"/>
            <family val="2"/>
          </rPr>
          <t>jfunk: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<sst xmlns="http://schemas.openxmlformats.org/spreadsheetml/2006/main" count="79" uniqueCount="74">
  <si>
    <t>CHEROKEE COUNTY BOARD OF COMMISSIONERS</t>
  </si>
  <si>
    <t>PROPERTY TAX ANALYSIS</t>
  </si>
  <si>
    <r>
      <t xml:space="preserve">2019 PROPERTY TAX MILLAGE RATE &amp; 2020 </t>
    </r>
    <r>
      <rPr>
        <b/>
        <i/>
        <sz val="16"/>
        <color indexed="8"/>
        <rFont val="Calibri"/>
        <family val="2"/>
      </rPr>
      <t>ESTIMATED</t>
    </r>
    <r>
      <rPr>
        <b/>
        <sz val="16"/>
        <color indexed="8"/>
        <rFont val="Calibri"/>
        <family val="2"/>
      </rPr>
      <t xml:space="preserve"> BUDGET</t>
    </r>
  </si>
  <si>
    <r>
      <t xml:space="preserve">QUESTION 1: HOW MUCH DO I PAY IN </t>
    </r>
    <r>
      <rPr>
        <b/>
        <u val="single"/>
        <sz val="14"/>
        <color indexed="8"/>
        <rFont val="Calibri"/>
        <family val="2"/>
      </rPr>
      <t>COUNTY</t>
    </r>
    <r>
      <rPr>
        <b/>
        <sz val="14"/>
        <color indexed="8"/>
        <rFont val="Calibri"/>
        <family val="2"/>
      </rPr>
      <t xml:space="preserve"> PROPERTY TAXES?</t>
    </r>
  </si>
  <si>
    <t>QUESTION 2: AND HOW DOES THE COUNTY SPEND MY TAX DOLLARS?</t>
  </si>
  <si>
    <r>
      <t xml:space="preserve">QUESTION 3: CAN I SEE MY </t>
    </r>
    <r>
      <rPr>
        <b/>
        <u val="single"/>
        <sz val="14"/>
        <color indexed="8"/>
        <rFont val="Calibri"/>
        <family val="2"/>
      </rPr>
      <t>TOTAL</t>
    </r>
    <r>
      <rPr>
        <b/>
        <sz val="14"/>
        <color indexed="8"/>
        <rFont val="Calibri"/>
        <family val="2"/>
      </rPr>
      <t xml:space="preserve"> 2019 ESTIMATED TAX BILL?</t>
    </r>
  </si>
  <si>
    <t>INPUT THE YOUR INFO IN THE YELLOW CELLS:</t>
  </si>
  <si>
    <t xml:space="preserve">                 If you enter the Fair Market Value of your home (from your 2019 Property Value Assessment ) and whether you are qualified for the homestead exemption -  the spreadsheet will automatically calculate your 2019 Taxes.</t>
  </si>
  <si>
    <t>2013 Property Fair Market Value</t>
  </si>
  <si>
    <t>2019 Property Fair Market Value</t>
  </si>
  <si>
    <t>Homestead Exemption? (Enter 1 for Yes)</t>
  </si>
  <si>
    <t>** Note the average home in Cherokee for 2019 is valued at $274,200</t>
  </si>
  <si>
    <t>ANSWER 1:</t>
  </si>
  <si>
    <t>2019 - County Portion Only</t>
  </si>
  <si>
    <t>2019 Assessed Value</t>
  </si>
  <si>
    <t>2018 Rates</t>
  </si>
  <si>
    <t>2019 Tax Bill at 2018 Rates</t>
  </si>
  <si>
    <t>2020 Proposed Rates</t>
  </si>
  <si>
    <t>2019 Tax Bill At 2019 Proposed  Rates</t>
  </si>
  <si>
    <t>General Fund</t>
  </si>
  <si>
    <t>Fire Fund</t>
  </si>
  <si>
    <t>Parks Bond</t>
  </si>
  <si>
    <t>Total County Taxes Assessed</t>
  </si>
  <si>
    <t>Step 1 - Determine the Amount of Property Taxes Funding Total General Fund Operations</t>
  </si>
  <si>
    <t>2019 PRELIM ESTIMATE OF REVENUES</t>
  </si>
  <si>
    <t>TOTAL BUDGET</t>
  </si>
  <si>
    <t>% OF REVENUE BUDGET</t>
  </si>
  <si>
    <t>Property Taxes</t>
  </si>
  <si>
    <t>Other Taxes</t>
  </si>
  <si>
    <t>Licenses &amp; Permits</t>
  </si>
  <si>
    <t>Charges for Services</t>
  </si>
  <si>
    <t>Fines &amp; Forfeitures</t>
  </si>
  <si>
    <t>Miscellaneous</t>
  </si>
  <si>
    <t>Use of Reserves</t>
  </si>
  <si>
    <t>Total Revenue Sources</t>
  </si>
  <si>
    <t>ANSWER 2:</t>
  </si>
  <si>
    <t>Based on the Estimated Ending Tax Digest and Proposed Millage Rate of 5.216, the County</t>
  </si>
  <si>
    <t>would levy $54,695,357 in total property taxes.  This total would be spent on the following:</t>
  </si>
  <si>
    <t>ESTIMATED 2020 BUDGET FOR PROPERTY TAX FUNDED COSTS</t>
  </si>
  <si>
    <t>Direct Revenue Activities</t>
  </si>
  <si>
    <t>Net</t>
  </si>
  <si>
    <t>$ FUNDED BY PROP TAXES</t>
  </si>
  <si>
    <t>DEPT % OF TOTAL</t>
  </si>
  <si>
    <t>YOUR TAX DOLLARS GO TO:</t>
  </si>
  <si>
    <t>Animal Control</t>
  </si>
  <si>
    <t>Animal Shelter</t>
  </si>
  <si>
    <t>Coroner</t>
  </si>
  <si>
    <t>EMA</t>
  </si>
  <si>
    <t>EMS</t>
  </si>
  <si>
    <t>Probation</t>
  </si>
  <si>
    <t>Jail</t>
  </si>
  <si>
    <t>Sheriff</t>
  </si>
  <si>
    <t>Judicial</t>
  </si>
  <si>
    <t>BOC</t>
  </si>
  <si>
    <t>Elections</t>
  </si>
  <si>
    <t>Tax Administration</t>
  </si>
  <si>
    <t>Library</t>
  </si>
  <si>
    <t>Parks</t>
  </si>
  <si>
    <t>Roads &amp; Bridges</t>
  </si>
  <si>
    <t>Community Services Agency</t>
  </si>
  <si>
    <t>County Extension</t>
  </si>
  <si>
    <t>DFACS</t>
  </si>
  <si>
    <t>MUST/Homeless Vet/Children</t>
  </si>
  <si>
    <t>Transportation</t>
  </si>
  <si>
    <t>TOTAL GENERAL FUND</t>
  </si>
  <si>
    <t>ANSWER 3:</t>
  </si>
  <si>
    <t>Summary of Total Tax Bill</t>
  </si>
  <si>
    <t>2019 Rates</t>
  </si>
  <si>
    <t>Change</t>
  </si>
  <si>
    <t>Total County Portion</t>
  </si>
  <si>
    <t>School Operations</t>
  </si>
  <si>
    <t>School Bond</t>
  </si>
  <si>
    <t>Total County Schools</t>
  </si>
  <si>
    <t>Total Tax Bill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</si>
</sst>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"/>
    <numFmt numFmtId="167" formatCode="&quot;$&quot;#,##0.00"/>
    <numFmt numFmtId="168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medium"/>
    </border>
    <border>
      <left/>
      <right style="medium">
        <color theme="6" tint="-0.4999699890613556"/>
      </right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9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164" fontId="0" fillId="0" borderId="0" xfId="42" applyNumberFormat="1" applyFont="1" applyBorder="1" applyAlignment="1">
      <alignment/>
    </xf>
    <xf numFmtId="9" fontId="0" fillId="0" borderId="0" xfId="57" applyFont="1" applyBorder="1" applyAlignment="1">
      <alignment/>
    </xf>
    <xf numFmtId="0" fontId="46" fillId="0" borderId="0" xfId="0" applyFont="1" applyBorder="1" applyAlignment="1">
      <alignment/>
    </xf>
    <xf numFmtId="6" fontId="0" fillId="0" borderId="13" xfId="42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46" fillId="0" borderId="0" xfId="0" applyFont="1" applyBorder="1" applyAlignment="1" quotePrefix="1">
      <alignment/>
    </xf>
    <xf numFmtId="0" fontId="46" fillId="0" borderId="15" xfId="0" applyFont="1" applyFill="1" applyBorder="1" applyAlignment="1">
      <alignment horizontal="right" wrapText="1"/>
    </xf>
    <xf numFmtId="0" fontId="46" fillId="0" borderId="15" xfId="0" applyFont="1" applyFill="1" applyBorder="1" applyAlignment="1">
      <alignment horizontal="center" wrapText="1"/>
    </xf>
    <xf numFmtId="0" fontId="46" fillId="0" borderId="15" xfId="0" applyFont="1" applyBorder="1" applyAlignment="1" quotePrefix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5" xfId="0" applyFont="1" applyBorder="1" applyAlignment="1">
      <alignment horizontal="right" wrapText="1"/>
    </xf>
    <xf numFmtId="165" fontId="0" fillId="0" borderId="0" xfId="42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42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8" fontId="0" fillId="0" borderId="0" xfId="42" applyNumberFormat="1" applyFont="1" applyBorder="1" applyAlignment="1">
      <alignment/>
    </xf>
    <xf numFmtId="167" fontId="0" fillId="0" borderId="0" xfId="0" applyNumberFormat="1" applyBorder="1" applyAlignment="1">
      <alignment/>
    </xf>
    <xf numFmtId="44" fontId="0" fillId="0" borderId="16" xfId="44" applyFont="1" applyFill="1" applyBorder="1" applyAlignment="1">
      <alignment/>
    </xf>
    <xf numFmtId="166" fontId="46" fillId="0" borderId="16" xfId="0" applyNumberFormat="1" applyFont="1" applyBorder="1" applyAlignment="1">
      <alignment/>
    </xf>
    <xf numFmtId="167" fontId="46" fillId="0" borderId="16" xfId="44" applyNumberFormat="1" applyFont="1" applyBorder="1" applyAlignment="1">
      <alignment/>
    </xf>
    <xf numFmtId="8" fontId="46" fillId="0" borderId="16" xfId="0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8" fontId="46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8" fontId="46" fillId="0" borderId="15" xfId="0" applyNumberFormat="1" applyFont="1" applyFill="1" applyBorder="1" applyAlignment="1">
      <alignment horizontal="right" wrapText="1"/>
    </xf>
    <xf numFmtId="8" fontId="46" fillId="0" borderId="15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right"/>
    </xf>
    <xf numFmtId="168" fontId="0" fillId="4" borderId="0" xfId="57" applyNumberFormat="1" applyFont="1" applyFill="1" applyBorder="1" applyAlignment="1">
      <alignment/>
    </xf>
    <xf numFmtId="168" fontId="0" fillId="0" borderId="0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8" fontId="46" fillId="0" borderId="0" xfId="57" applyNumberFormat="1" applyFont="1" applyAlignment="1">
      <alignment/>
    </xf>
    <xf numFmtId="164" fontId="46" fillId="0" borderId="16" xfId="42" applyNumberFormat="1" applyFont="1" applyFill="1" applyBorder="1" applyAlignment="1">
      <alignment/>
    </xf>
    <xf numFmtId="168" fontId="46" fillId="0" borderId="16" xfId="57" applyNumberFormat="1" applyFont="1" applyBorder="1" applyAlignment="1">
      <alignment/>
    </xf>
    <xf numFmtId="0" fontId="46" fillId="0" borderId="0" xfId="0" applyFont="1" applyBorder="1" applyAlignment="1">
      <alignment horizontal="center" wrapText="1"/>
    </xf>
    <xf numFmtId="10" fontId="0" fillId="0" borderId="0" xfId="57" applyNumberFormat="1" applyFont="1" applyBorder="1" applyAlignment="1">
      <alignment horizontal="center"/>
    </xf>
    <xf numFmtId="8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8" fontId="0" fillId="0" borderId="0" xfId="0" applyNumberFormat="1" applyBorder="1" applyAlignment="1">
      <alignment/>
    </xf>
    <xf numFmtId="168" fontId="46" fillId="0" borderId="0" xfId="57" applyNumberFormat="1" applyFont="1" applyBorder="1" applyAlignment="1">
      <alignment/>
    </xf>
    <xf numFmtId="164" fontId="46" fillId="0" borderId="16" xfId="0" applyNumberFormat="1" applyFont="1" applyFill="1" applyBorder="1" applyAlignment="1">
      <alignment/>
    </xf>
    <xf numFmtId="164" fontId="46" fillId="0" borderId="16" xfId="0" applyNumberFormat="1" applyFont="1" applyFill="1" applyBorder="1" applyAlignment="1">
      <alignment horizontal="center"/>
    </xf>
    <xf numFmtId="164" fontId="46" fillId="0" borderId="16" xfId="0" applyNumberFormat="1" applyFont="1" applyBorder="1" applyAlignment="1">
      <alignment/>
    </xf>
    <xf numFmtId="9" fontId="46" fillId="0" borderId="16" xfId="57" applyFont="1" applyBorder="1" applyAlignment="1">
      <alignment horizontal="center"/>
    </xf>
    <xf numFmtId="8" fontId="46" fillId="0" borderId="16" xfId="44" applyNumberFormat="1" applyFont="1" applyBorder="1" applyAlignment="1">
      <alignment horizontal="right"/>
    </xf>
    <xf numFmtId="8" fontId="46" fillId="0" borderId="0" xfId="44" applyNumberFormat="1" applyFont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46" fillId="0" borderId="0" xfId="0" applyNumberFormat="1" applyFont="1" applyBorder="1" applyAlignment="1">
      <alignment/>
    </xf>
    <xf numFmtId="0" fontId="46" fillId="0" borderId="15" xfId="0" applyFont="1" applyBorder="1" applyAlignment="1">
      <alignment horizontal="right"/>
    </xf>
    <xf numFmtId="8" fontId="0" fillId="0" borderId="0" xfId="0" applyNumberFormat="1" applyFill="1" applyBorder="1" applyAlignment="1">
      <alignment/>
    </xf>
    <xf numFmtId="8" fontId="46" fillId="0" borderId="16" xfId="0" applyNumberFormat="1" applyFont="1" applyFill="1" applyBorder="1" applyAlignment="1">
      <alignment/>
    </xf>
    <xf numFmtId="167" fontId="46" fillId="0" borderId="16" xfId="0" applyNumberFormat="1" applyFont="1" applyFill="1" applyBorder="1" applyAlignment="1">
      <alignment/>
    </xf>
    <xf numFmtId="8" fontId="46" fillId="0" borderId="0" xfId="0" applyNumberFormat="1" applyFont="1" applyFill="1" applyBorder="1" applyAlignment="1">
      <alignment/>
    </xf>
    <xf numFmtId="167" fontId="46" fillId="0" borderId="17" xfId="0" applyNumberFormat="1" applyFont="1" applyFill="1" applyBorder="1" applyAlignment="1">
      <alignment/>
    </xf>
    <xf numFmtId="167" fontId="46" fillId="0" borderId="17" xfId="0" applyNumberFormat="1" applyFont="1" applyBorder="1" applyAlignment="1">
      <alignment/>
    </xf>
    <xf numFmtId="8" fontId="46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5" fillId="0" borderId="0" xfId="0" applyFont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6" fontId="0" fillId="33" borderId="13" xfId="42" applyNumberFormat="1" applyFon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971550</xdr:colOff>
      <xdr:row>2</xdr:row>
      <xdr:rowOff>314325</xdr:rowOff>
    </xdr:to>
    <xdr:pic>
      <xdr:nvPicPr>
        <xdr:cNvPr id="1" name="Picture 1" descr="cherokee-county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171450</xdr:rowOff>
    </xdr:from>
    <xdr:to>
      <xdr:col>0</xdr:col>
      <xdr:colOff>933450</xdr:colOff>
      <xdr:row>10</xdr:row>
      <xdr:rowOff>9525</xdr:rowOff>
    </xdr:to>
    <xdr:pic>
      <xdr:nvPicPr>
        <xdr:cNvPr id="2" name="Picture 1" descr="C:\Documents and Settings\jfunk\Local Settings\Temporary Internet Files\Content.IE5\DDBMYTFF\MC900404263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390650"/>
          <a:ext cx="876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1038225</xdr:colOff>
      <xdr:row>9</xdr:row>
      <xdr:rowOff>133350</xdr:rowOff>
    </xdr:from>
    <xdr:to>
      <xdr:col>6</xdr:col>
      <xdr:colOff>38100</xdr:colOff>
      <xdr:row>17</xdr:row>
      <xdr:rowOff>0</xdr:rowOff>
    </xdr:to>
    <xdr:sp>
      <xdr:nvSpPr>
        <xdr:cNvPr id="3" name="Left Arrow 3"/>
        <xdr:cNvSpPr>
          <a:spLocks/>
        </xdr:cNvSpPr>
      </xdr:nvSpPr>
      <xdr:spPr>
        <a:xfrm>
          <a:off x="4362450" y="2447925"/>
          <a:ext cx="2657475" cy="1314450"/>
        </a:xfrm>
        <a:prstGeom prst="leftArrow">
          <a:avLst>
            <a:gd name="adj" fmla="val -26907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73</xdr:row>
      <xdr:rowOff>200025</xdr:rowOff>
    </xdr:from>
    <xdr:ext cx="7924800" cy="609600"/>
    <xdr:sp>
      <xdr:nvSpPr>
        <xdr:cNvPr id="4" name="TextBox 4"/>
        <xdr:cNvSpPr txBox="1">
          <a:spLocks noChangeArrowheads="1"/>
        </xdr:cNvSpPr>
      </xdr:nvSpPr>
      <xdr:spPr>
        <a:xfrm>
          <a:off x="0" y="15859125"/>
          <a:ext cx="7924800" cy="609600"/>
        </a:xfrm>
        <a:prstGeom prst="rect">
          <a:avLst/>
        </a:prstGeom>
        <a:solidFill>
          <a:srgbClr val="9DC3E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Cherokee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County 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where metro meets the mountains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Millage%20Rate%20Info\2019\How_Property_Taxes_Are_Used_Interactive_based%20on%202019%20Tax%20Digest.2020%20Budget%2007.1.19%20s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19 Millage Rate"/>
      <sheetName val="Sheet3"/>
      <sheetName val="Breakdown"/>
      <sheetName val="Breakdown (2)"/>
      <sheetName val="Budgeted Revenues"/>
      <sheetName val="categories"/>
    </sheetNames>
    <sheetDataSet>
      <sheetData sheetId="4">
        <row r="5">
          <cell r="L5">
            <v>471382</v>
          </cell>
        </row>
        <row r="6">
          <cell r="L6">
            <v>1384218</v>
          </cell>
        </row>
        <row r="7">
          <cell r="L7">
            <v>310237</v>
          </cell>
        </row>
        <row r="12">
          <cell r="L12">
            <v>621425</v>
          </cell>
        </row>
        <row r="15">
          <cell r="L15">
            <v>189406</v>
          </cell>
        </row>
        <row r="17">
          <cell r="L17">
            <v>216598</v>
          </cell>
        </row>
        <row r="20">
          <cell r="L20">
            <v>99008</v>
          </cell>
        </row>
        <row r="23">
          <cell r="L23">
            <v>97000</v>
          </cell>
        </row>
        <row r="25">
          <cell r="L25">
            <v>927639</v>
          </cell>
        </row>
        <row r="26">
          <cell r="L26">
            <v>330956</v>
          </cell>
        </row>
        <row r="27">
          <cell r="L27">
            <v>1750000</v>
          </cell>
        </row>
        <row r="39">
          <cell r="L39">
            <v>17508166</v>
          </cell>
        </row>
        <row r="40">
          <cell r="L40">
            <v>2454116</v>
          </cell>
        </row>
        <row r="41">
          <cell r="L41">
            <v>50000</v>
          </cell>
        </row>
        <row r="43">
          <cell r="L43">
            <v>1584484</v>
          </cell>
        </row>
        <row r="50">
          <cell r="L50">
            <v>3931516</v>
          </cell>
        </row>
        <row r="53">
          <cell r="L53">
            <v>42508820</v>
          </cell>
        </row>
        <row r="55">
          <cell r="L55">
            <v>2812440</v>
          </cell>
        </row>
        <row r="56">
          <cell r="L56">
            <v>2349545</v>
          </cell>
        </row>
        <row r="57">
          <cell r="L57">
            <v>434925</v>
          </cell>
        </row>
        <row r="91">
          <cell r="E91">
            <v>15928898</v>
          </cell>
        </row>
      </sheetData>
      <sheetData sheetId="5">
        <row r="37">
          <cell r="F37">
            <v>-4610339</v>
          </cell>
        </row>
        <row r="38">
          <cell r="E38">
            <v>-1000</v>
          </cell>
        </row>
        <row r="39">
          <cell r="E39">
            <v>-250000</v>
          </cell>
        </row>
        <row r="57">
          <cell r="E57">
            <v>-600000</v>
          </cell>
        </row>
        <row r="58">
          <cell r="E58">
            <v>-8000</v>
          </cell>
        </row>
        <row r="59">
          <cell r="E59">
            <v>-250000</v>
          </cell>
        </row>
        <row r="69">
          <cell r="E69">
            <v>-150000</v>
          </cell>
        </row>
        <row r="72">
          <cell r="E72">
            <v>-30000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5.57421875" style="0" customWidth="1"/>
    <col min="2" max="2" width="34.28125" style="0" customWidth="1"/>
    <col min="3" max="3" width="15.57421875" style="79" customWidth="1"/>
    <col min="4" max="4" width="13.140625" style="80" customWidth="1"/>
    <col min="5" max="5" width="11.421875" style="0" bestFit="1" customWidth="1"/>
    <col min="6" max="6" width="14.7109375" style="0" customWidth="1"/>
    <col min="7" max="7" width="12.140625" style="0" customWidth="1"/>
    <col min="8" max="8" width="13.140625" style="5" customWidth="1"/>
    <col min="10" max="10" width="23.00390625" style="5" customWidth="1"/>
    <col min="11" max="11" width="8.8515625" style="50" customWidth="1"/>
  </cols>
  <sheetData>
    <row r="1" spans="1:11" ht="29.25" customHeight="1">
      <c r="A1" s="1"/>
      <c r="B1" s="2" t="s">
        <v>0</v>
      </c>
      <c r="C1" s="3"/>
      <c r="D1" s="4"/>
      <c r="E1" s="4"/>
      <c r="F1" s="4"/>
      <c r="G1" s="4"/>
      <c r="I1" s="5"/>
      <c r="J1" s="50"/>
      <c r="K1"/>
    </row>
    <row r="2" spans="1:11" ht="26.25" customHeight="1">
      <c r="A2" s="6"/>
      <c r="B2" s="7" t="s">
        <v>1</v>
      </c>
      <c r="C2" s="8"/>
      <c r="D2" s="5"/>
      <c r="E2" s="5"/>
      <c r="F2" s="5"/>
      <c r="G2" s="5"/>
      <c r="I2" s="5"/>
      <c r="J2" s="50"/>
      <c r="K2"/>
    </row>
    <row r="3" spans="1:11" ht="25.5" customHeight="1">
      <c r="A3" s="6"/>
      <c r="B3" s="7" t="s">
        <v>2</v>
      </c>
      <c r="C3" s="8"/>
      <c r="D3" s="5"/>
      <c r="E3" s="5"/>
      <c r="F3" s="5"/>
      <c r="G3" s="5"/>
      <c r="I3" s="5"/>
      <c r="J3" s="50"/>
      <c r="K3"/>
    </row>
    <row r="4" spans="1:11" ht="15">
      <c r="A4" s="6"/>
      <c r="B4" s="5"/>
      <c r="C4" s="8"/>
      <c r="D4" s="5"/>
      <c r="E4" s="5"/>
      <c r="F4" s="5"/>
      <c r="G4" s="5"/>
      <c r="I4" s="5"/>
      <c r="J4" s="50"/>
      <c r="K4"/>
    </row>
    <row r="5" spans="1:11" ht="15">
      <c r="A5" s="6"/>
      <c r="B5" s="5"/>
      <c r="C5" s="8"/>
      <c r="D5" s="5"/>
      <c r="E5" s="5"/>
      <c r="F5" s="5"/>
      <c r="G5" s="5"/>
      <c r="I5" s="5"/>
      <c r="J5" s="50"/>
      <c r="K5"/>
    </row>
    <row r="6" spans="1:11" ht="18.75">
      <c r="A6" s="6"/>
      <c r="B6" s="10" t="s">
        <v>3</v>
      </c>
      <c r="C6" s="11"/>
      <c r="D6" s="5"/>
      <c r="E6" s="5"/>
      <c r="F6" s="5"/>
      <c r="G6" s="5"/>
      <c r="I6" s="5"/>
      <c r="J6" s="50"/>
      <c r="K6"/>
    </row>
    <row r="7" spans="1:11" ht="15">
      <c r="A7" s="6"/>
      <c r="B7" s="5"/>
      <c r="C7" s="11"/>
      <c r="D7" s="5"/>
      <c r="E7" s="5"/>
      <c r="F7" s="5"/>
      <c r="G7" s="5"/>
      <c r="I7" s="5"/>
      <c r="J7" s="50"/>
      <c r="K7"/>
    </row>
    <row r="8" spans="1:11" ht="18.75">
      <c r="A8" s="12"/>
      <c r="B8" s="13" t="s">
        <v>4</v>
      </c>
      <c r="C8" s="14"/>
      <c r="D8" s="5"/>
      <c r="E8" s="5"/>
      <c r="F8" s="5"/>
      <c r="G8" s="5"/>
      <c r="I8" s="5"/>
      <c r="J8" s="50"/>
      <c r="K8"/>
    </row>
    <row r="9" spans="1:11" ht="18.75">
      <c r="A9" s="12"/>
      <c r="B9" s="13"/>
      <c r="C9" s="14"/>
      <c r="D9" s="5"/>
      <c r="E9" s="15"/>
      <c r="F9" s="5"/>
      <c r="G9" s="5"/>
      <c r="I9" s="5"/>
      <c r="J9" s="50"/>
      <c r="K9"/>
    </row>
    <row r="10" spans="1:11" ht="18.75">
      <c r="A10" s="12"/>
      <c r="B10" s="13" t="s">
        <v>5</v>
      </c>
      <c r="C10" s="14"/>
      <c r="D10" s="5"/>
      <c r="E10" s="16"/>
      <c r="F10" s="5"/>
      <c r="G10" s="5"/>
      <c r="I10" s="5"/>
      <c r="J10" s="50"/>
      <c r="K10"/>
    </row>
    <row r="11" spans="1:11" ht="18.75">
      <c r="A11" s="12"/>
      <c r="B11" s="13"/>
      <c r="C11" s="14"/>
      <c r="D11" s="5"/>
      <c r="E11" s="5"/>
      <c r="F11" s="5"/>
      <c r="G11" s="5"/>
      <c r="I11" s="5"/>
      <c r="J11" s="50"/>
      <c r="K11"/>
    </row>
    <row r="12" spans="1:11" ht="15.75" thickBot="1">
      <c r="A12" s="12"/>
      <c r="B12" s="17" t="s">
        <v>6</v>
      </c>
      <c r="C12" s="8"/>
      <c r="D12" s="81" t="s">
        <v>7</v>
      </c>
      <c r="E12" s="81"/>
      <c r="F12" s="82"/>
      <c r="G12" s="5"/>
      <c r="I12" s="5"/>
      <c r="J12" s="50"/>
      <c r="K12"/>
    </row>
    <row r="13" spans="1:11" ht="15" customHeight="1" hidden="1" thickBot="1">
      <c r="A13" s="12"/>
      <c r="B13" s="1" t="s">
        <v>8</v>
      </c>
      <c r="C13" s="18">
        <v>172909</v>
      </c>
      <c r="D13" s="81"/>
      <c r="E13" s="81"/>
      <c r="F13" s="82"/>
      <c r="G13" s="5"/>
      <c r="I13" s="5"/>
      <c r="J13" s="50"/>
      <c r="K13"/>
    </row>
    <row r="14" spans="1:11" ht="15">
      <c r="A14" s="12"/>
      <c r="B14" s="1" t="s">
        <v>9</v>
      </c>
      <c r="C14" s="83">
        <v>274200</v>
      </c>
      <c r="D14" s="81"/>
      <c r="E14" s="81"/>
      <c r="F14" s="82"/>
      <c r="G14" s="5"/>
      <c r="I14" s="5"/>
      <c r="J14" s="50"/>
      <c r="K14"/>
    </row>
    <row r="15" spans="1:11" ht="15.75" thickBot="1">
      <c r="A15" s="12"/>
      <c r="B15" s="19" t="s">
        <v>10</v>
      </c>
      <c r="C15" s="84">
        <v>1</v>
      </c>
      <c r="D15" s="81"/>
      <c r="E15" s="81"/>
      <c r="F15" s="82"/>
      <c r="G15" s="5"/>
      <c r="I15" s="5"/>
      <c r="J15" s="50"/>
      <c r="K15"/>
    </row>
    <row r="16" spans="1:11" ht="15">
      <c r="A16" s="12"/>
      <c r="B16" s="20"/>
      <c r="C16" s="21"/>
      <c r="D16" s="5"/>
      <c r="E16" s="5"/>
      <c r="F16" s="5"/>
      <c r="G16" s="5"/>
      <c r="I16" s="5"/>
      <c r="J16" s="50"/>
      <c r="K16"/>
    </row>
    <row r="17" spans="1:11" ht="15">
      <c r="A17" s="6"/>
      <c r="B17" s="23" t="s">
        <v>11</v>
      </c>
      <c r="C17" s="8"/>
      <c r="D17" s="5"/>
      <c r="E17" s="24"/>
      <c r="F17" s="5"/>
      <c r="G17" s="5"/>
      <c r="I17" s="5"/>
      <c r="J17" s="50"/>
      <c r="K17"/>
    </row>
    <row r="18" spans="1:11" ht="75">
      <c r="A18" s="12" t="s">
        <v>12</v>
      </c>
      <c r="B18" s="25" t="s">
        <v>13</v>
      </c>
      <c r="C18" s="26" t="s">
        <v>14</v>
      </c>
      <c r="D18" s="28" t="s">
        <v>15</v>
      </c>
      <c r="E18" s="28" t="s">
        <v>16</v>
      </c>
      <c r="F18" s="29" t="s">
        <v>17</v>
      </c>
      <c r="G18" s="30" t="s">
        <v>18</v>
      </c>
      <c r="I18" s="5"/>
      <c r="J18" s="50"/>
      <c r="K18"/>
    </row>
    <row r="19" spans="1:11" ht="15">
      <c r="A19" s="6"/>
      <c r="B19" s="5" t="s">
        <v>19</v>
      </c>
      <c r="C19" s="31">
        <f>IF(C15=1,C20-5000,C20)</f>
        <v>104680</v>
      </c>
      <c r="D19" s="32">
        <v>5.366</v>
      </c>
      <c r="E19" s="33">
        <f>C19*D19/1000</f>
        <v>561.71288</v>
      </c>
      <c r="F19" s="34">
        <v>5.216</v>
      </c>
      <c r="G19" s="35">
        <f>+C19*F19/1000</f>
        <v>546.01088</v>
      </c>
      <c r="I19" s="5"/>
      <c r="J19" s="50"/>
      <c r="K19"/>
    </row>
    <row r="20" spans="1:11" ht="15">
      <c r="A20" s="6"/>
      <c r="B20" s="5" t="s">
        <v>20</v>
      </c>
      <c r="C20" s="31">
        <f>C14*0.4</f>
        <v>109680</v>
      </c>
      <c r="D20" s="32">
        <v>3.269</v>
      </c>
      <c r="E20" s="36">
        <f>C20*D20/1000</f>
        <v>358.54392</v>
      </c>
      <c r="F20" s="34">
        <v>3.269</v>
      </c>
      <c r="G20" s="35">
        <f>+C20*F20/1000</f>
        <v>358.54392</v>
      </c>
      <c r="I20" s="5"/>
      <c r="J20" s="50"/>
      <c r="K20"/>
    </row>
    <row r="21" spans="1:11" ht="15">
      <c r="A21" s="6"/>
      <c r="B21" s="5" t="s">
        <v>21</v>
      </c>
      <c r="C21" s="31">
        <f>C14*0.4</f>
        <v>109680</v>
      </c>
      <c r="D21" s="32">
        <v>0.503</v>
      </c>
      <c r="E21" s="36">
        <f>C21*D21/1000</f>
        <v>55.16904</v>
      </c>
      <c r="F21" s="34">
        <v>0.48</v>
      </c>
      <c r="G21" s="35">
        <f>+C21*F21/1000</f>
        <v>52.6464</v>
      </c>
      <c r="I21" s="5"/>
      <c r="J21" s="50"/>
      <c r="K21"/>
    </row>
    <row r="22" spans="1:11" ht="15.75" thickBot="1">
      <c r="A22" s="6"/>
      <c r="B22" s="17" t="s">
        <v>22</v>
      </c>
      <c r="C22" s="37"/>
      <c r="D22" s="38">
        <f>SUM(D19:D21)</f>
        <v>9.138</v>
      </c>
      <c r="E22" s="39">
        <f>SUM(E19:E21)</f>
        <v>975.4258400000001</v>
      </c>
      <c r="F22" s="38">
        <f>SUM(F19:F21)</f>
        <v>8.965</v>
      </c>
      <c r="G22" s="40">
        <f>SUM(G19:G21)</f>
        <v>957.2012000000001</v>
      </c>
      <c r="I22" s="5"/>
      <c r="J22" s="50"/>
      <c r="K22"/>
    </row>
    <row r="23" spans="1:11" ht="15.75" thickTop="1">
      <c r="A23" s="6"/>
      <c r="B23" s="17"/>
      <c r="C23" s="41"/>
      <c r="D23" s="17"/>
      <c r="E23" s="42"/>
      <c r="F23" s="5"/>
      <c r="G23" s="5"/>
      <c r="I23" s="5"/>
      <c r="J23" s="50"/>
      <c r="K23"/>
    </row>
    <row r="24" spans="1:11" ht="15">
      <c r="A24" s="6"/>
      <c r="B24" s="17"/>
      <c r="C24" s="8"/>
      <c r="D24" s="5"/>
      <c r="E24" s="5"/>
      <c r="F24" s="5"/>
      <c r="G24" s="5"/>
      <c r="I24" s="5"/>
      <c r="J24" s="50"/>
      <c r="K24"/>
    </row>
    <row r="25" spans="1:11" ht="15.75">
      <c r="A25" s="6"/>
      <c r="B25" s="43" t="s">
        <v>23</v>
      </c>
      <c r="C25" s="8"/>
      <c r="D25" s="5"/>
      <c r="E25" s="5"/>
      <c r="F25" s="5"/>
      <c r="G25" s="5"/>
      <c r="I25" s="5"/>
      <c r="J25" s="50"/>
      <c r="K25"/>
    </row>
    <row r="26" spans="1:11" ht="45">
      <c r="A26" s="6"/>
      <c r="B26" s="17" t="s">
        <v>24</v>
      </c>
      <c r="C26" s="44" t="s">
        <v>25</v>
      </c>
      <c r="D26" s="45" t="s">
        <v>26</v>
      </c>
      <c r="E26" s="46"/>
      <c r="F26" s="5"/>
      <c r="G26" s="5"/>
      <c r="I26" s="5"/>
      <c r="J26" s="50"/>
      <c r="K26"/>
    </row>
    <row r="27" spans="1:11" ht="14.25">
      <c r="A27" s="6"/>
      <c r="B27" s="5" t="s">
        <v>27</v>
      </c>
      <c r="C27" s="21">
        <v>54695357</v>
      </c>
      <c r="D27" s="47">
        <f aca="true" t="shared" si="0" ref="D27:D34">+C27/C$34</f>
        <v>0.5525871238917502</v>
      </c>
      <c r="E27" s="48"/>
      <c r="F27" s="5"/>
      <c r="G27" s="5"/>
      <c r="I27" s="5"/>
      <c r="J27" s="50"/>
      <c r="K27"/>
    </row>
    <row r="28" spans="1:11" ht="14.25">
      <c r="A28" s="6"/>
      <c r="B28" s="5" t="s">
        <v>28</v>
      </c>
      <c r="C28" s="21">
        <v>23052147</v>
      </c>
      <c r="D28" s="48">
        <f t="shared" si="0"/>
        <v>0.23289581253231129</v>
      </c>
      <c r="E28" s="48"/>
      <c r="F28" s="49"/>
      <c r="G28" s="5"/>
      <c r="I28" s="5"/>
      <c r="J28" s="50"/>
      <c r="K28"/>
    </row>
    <row r="29" spans="1:11" ht="14.25">
      <c r="A29" s="6"/>
      <c r="B29" s="5" t="s">
        <v>29</v>
      </c>
      <c r="C29" s="21">
        <v>2630000</v>
      </c>
      <c r="D29" s="48">
        <f t="shared" si="0"/>
        <v>0.026570886736058844</v>
      </c>
      <c r="E29" s="48"/>
      <c r="F29" s="5"/>
      <c r="G29" s="5"/>
      <c r="I29" s="5"/>
      <c r="J29" s="50"/>
      <c r="K29"/>
    </row>
    <row r="30" spans="1:11" ht="14.25">
      <c r="A30" s="6"/>
      <c r="B30" s="5" t="s">
        <v>30</v>
      </c>
      <c r="C30" s="21">
        <v>9131500</v>
      </c>
      <c r="D30" s="48">
        <f t="shared" si="0"/>
        <v>0.09225553316742256</v>
      </c>
      <c r="E30" s="48"/>
      <c r="F30" s="5"/>
      <c r="G30" s="5"/>
      <c r="I30" s="5"/>
      <c r="J30" s="50"/>
      <c r="K30"/>
    </row>
    <row r="31" spans="1:11" ht="14.25">
      <c r="A31" s="6"/>
      <c r="B31" s="5" t="s">
        <v>31</v>
      </c>
      <c r="C31" s="21">
        <v>4938000</v>
      </c>
      <c r="D31" s="48">
        <f t="shared" si="0"/>
        <v>0.0498886078717333</v>
      </c>
      <c r="E31" s="48"/>
      <c r="F31" s="5"/>
      <c r="G31" s="5"/>
      <c r="I31" s="5"/>
      <c r="J31" s="50"/>
      <c r="K31"/>
    </row>
    <row r="32" spans="1:11" ht="14.25">
      <c r="A32" s="6"/>
      <c r="B32" s="5" t="s">
        <v>32</v>
      </c>
      <c r="C32" s="21">
        <v>1908509</v>
      </c>
      <c r="D32" s="48">
        <f t="shared" si="0"/>
        <v>0.019281664058459668</v>
      </c>
      <c r="E32" s="48"/>
      <c r="F32" s="5"/>
      <c r="G32" s="5"/>
      <c r="I32" s="5"/>
      <c r="J32" s="50"/>
      <c r="K32"/>
    </row>
    <row r="33" spans="1:11" ht="14.25">
      <c r="A33" s="6"/>
      <c r="B33" s="5" t="s">
        <v>33</v>
      </c>
      <c r="C33" s="21">
        <v>2625000</v>
      </c>
      <c r="D33" s="48">
        <f t="shared" si="0"/>
        <v>0.026520371742264057</v>
      </c>
      <c r="E33" s="48"/>
      <c r="F33" s="5"/>
      <c r="G33" s="5"/>
      <c r="I33" s="5"/>
      <c r="J33" s="50"/>
      <c r="K33"/>
    </row>
    <row r="34" spans="1:11" ht="15" thickBot="1">
      <c r="A34" s="6"/>
      <c r="B34" s="17" t="s">
        <v>34</v>
      </c>
      <c r="C34" s="51">
        <f>SUM(C27:C33)</f>
        <v>98980513</v>
      </c>
      <c r="D34" s="52">
        <f t="shared" si="0"/>
        <v>1</v>
      </c>
      <c r="E34" s="48"/>
      <c r="F34" s="5"/>
      <c r="G34" s="5"/>
      <c r="I34" s="5"/>
      <c r="J34" s="50"/>
      <c r="K34"/>
    </row>
    <row r="35" spans="1:9" ht="15" thickTop="1">
      <c r="A35" s="6"/>
      <c r="B35" s="5"/>
      <c r="C35" s="21"/>
      <c r="D35" s="22"/>
      <c r="E35" s="5"/>
      <c r="F35" s="5"/>
      <c r="G35" s="5"/>
      <c r="I35" s="5"/>
    </row>
    <row r="36" spans="1:9" ht="14.25">
      <c r="A36" s="6"/>
      <c r="B36" s="5"/>
      <c r="C36" s="8"/>
      <c r="D36" s="9"/>
      <c r="E36" s="5"/>
      <c r="F36" s="5"/>
      <c r="G36" s="5"/>
      <c r="I36" s="5"/>
    </row>
    <row r="37" spans="1:9" ht="15">
      <c r="A37" s="12" t="s">
        <v>35</v>
      </c>
      <c r="B37" s="43" t="s">
        <v>36</v>
      </c>
      <c r="C37" s="8"/>
      <c r="D37" s="9"/>
      <c r="E37" s="5"/>
      <c r="F37" s="5"/>
      <c r="G37" s="5"/>
      <c r="I37" s="5"/>
    </row>
    <row r="38" spans="1:9" ht="15">
      <c r="A38" s="6"/>
      <c r="B38" s="43" t="s">
        <v>37</v>
      </c>
      <c r="C38" s="8"/>
      <c r="D38" s="9"/>
      <c r="E38" s="5"/>
      <c r="F38" s="5"/>
      <c r="G38" s="5"/>
      <c r="I38" s="5"/>
    </row>
    <row r="39" spans="1:9" ht="14.25">
      <c r="A39" s="6"/>
      <c r="B39" s="17"/>
      <c r="C39" s="8"/>
      <c r="D39" s="9"/>
      <c r="E39" s="5"/>
      <c r="F39" s="5"/>
      <c r="G39" s="5"/>
      <c r="I39" s="5"/>
    </row>
    <row r="40" spans="1:9" ht="54.75" customHeight="1">
      <c r="A40" s="6"/>
      <c r="B40" s="53" t="s">
        <v>38</v>
      </c>
      <c r="C40" s="26" t="s">
        <v>25</v>
      </c>
      <c r="D40" s="27" t="s">
        <v>39</v>
      </c>
      <c r="E40" s="27" t="s">
        <v>40</v>
      </c>
      <c r="F40" s="30" t="s">
        <v>41</v>
      </c>
      <c r="G40" s="29" t="s">
        <v>42</v>
      </c>
      <c r="H40" s="29" t="s">
        <v>43</v>
      </c>
      <c r="I40" s="5"/>
    </row>
    <row r="41" spans="1:9" ht="14.25">
      <c r="A41" s="6"/>
      <c r="B41" s="5" t="s">
        <v>44</v>
      </c>
      <c r="C41" s="21">
        <f>'[1]Breakdown (2)'!L5</f>
        <v>471382</v>
      </c>
      <c r="D41" s="22"/>
      <c r="E41" s="22">
        <f aca="true" t="shared" si="1" ref="E41:E58">C41-D41</f>
        <v>471382</v>
      </c>
      <c r="F41" s="15">
        <f aca="true" t="shared" si="2" ref="F41:F60">(E41/$E$61)*$C$27</f>
        <v>347787.9764783191</v>
      </c>
      <c r="G41" s="54">
        <f aca="true" t="shared" si="3" ref="G41:G60">+F41/F$61</f>
        <v>0.0063586380189148235</v>
      </c>
      <c r="H41" s="55">
        <f>+G41*$G$19</f>
        <v>3.4718855403091395</v>
      </c>
      <c r="I41" s="5"/>
    </row>
    <row r="42" spans="1:9" ht="14.25">
      <c r="A42" s="6"/>
      <c r="B42" s="5" t="s">
        <v>45</v>
      </c>
      <c r="C42" s="21">
        <f>'[1]Breakdown (2)'!L6</f>
        <v>1384218</v>
      </c>
      <c r="D42" s="22"/>
      <c r="E42" s="22">
        <f t="shared" si="1"/>
        <v>1384218</v>
      </c>
      <c r="F42" s="15">
        <f t="shared" si="2"/>
        <v>1021282.9026667668</v>
      </c>
      <c r="G42" s="54">
        <f t="shared" si="3"/>
        <v>0.018672204711393813</v>
      </c>
      <c r="H42" s="55">
        <f>+G42*$G$19</f>
        <v>10.195226926008283</v>
      </c>
      <c r="I42" s="5"/>
    </row>
    <row r="43" spans="1:9" ht="14.25">
      <c r="A43" s="6"/>
      <c r="B43" s="5" t="s">
        <v>46</v>
      </c>
      <c r="C43" s="21">
        <f>'[1]Breakdown (2)'!L17</f>
        <v>216598</v>
      </c>
      <c r="D43" s="22"/>
      <c r="E43" s="22">
        <f t="shared" si="1"/>
        <v>216598</v>
      </c>
      <c r="F43" s="15">
        <f t="shared" si="2"/>
        <v>159807.07818552884</v>
      </c>
      <c r="G43" s="54">
        <f t="shared" si="3"/>
        <v>0.002921766799794886</v>
      </c>
      <c r="H43" s="55">
        <f aca="true" t="shared" si="4" ref="H43:H60">+G43*$G$19</f>
        <v>1.5953164615107895</v>
      </c>
      <c r="I43" s="5"/>
    </row>
    <row r="44" spans="1:9" ht="14.25">
      <c r="A44" s="6"/>
      <c r="B44" s="5" t="s">
        <v>47</v>
      </c>
      <c r="C44" s="21">
        <f>'[1]Breakdown (2)'!L26</f>
        <v>330956</v>
      </c>
      <c r="D44" s="22"/>
      <c r="E44" s="22">
        <f t="shared" si="1"/>
        <v>330956</v>
      </c>
      <c r="F44" s="15">
        <f t="shared" si="2"/>
        <v>244180.97751581215</v>
      </c>
      <c r="G44" s="54">
        <f t="shared" si="3"/>
        <v>0.004464382187245109</v>
      </c>
      <c r="H44" s="55">
        <f t="shared" si="4"/>
        <v>2.4376012467140273</v>
      </c>
      <c r="I44" s="5"/>
    </row>
    <row r="45" spans="1:9" ht="14.25">
      <c r="A45" s="6"/>
      <c r="B45" s="56" t="s">
        <v>48</v>
      </c>
      <c r="C45" s="21">
        <f>'[1]Breakdown (2)'!L27</f>
        <v>1750000</v>
      </c>
      <c r="D45" s="22"/>
      <c r="E45" s="22">
        <f t="shared" si="1"/>
        <v>1750000</v>
      </c>
      <c r="F45" s="15">
        <f t="shared" si="2"/>
        <v>1291158.6756326258</v>
      </c>
      <c r="G45" s="54">
        <f t="shared" si="3"/>
        <v>0.02360636709314514</v>
      </c>
      <c r="H45" s="55">
        <f t="shared" si="4"/>
        <v>12.889333270131221</v>
      </c>
      <c r="I45" s="5"/>
    </row>
    <row r="46" spans="1:9" ht="14.25">
      <c r="A46" s="6"/>
      <c r="B46" s="8" t="s">
        <v>49</v>
      </c>
      <c r="C46" s="21">
        <f>'[1]Breakdown (2)'!L12</f>
        <v>621425</v>
      </c>
      <c r="D46" s="22">
        <f>-'[1]Budgeted Revenues'!E57</f>
        <v>600000</v>
      </c>
      <c r="E46" s="22">
        <f t="shared" si="1"/>
        <v>21425</v>
      </c>
      <c r="F46" s="15">
        <f t="shared" si="2"/>
        <v>15807.471214530859</v>
      </c>
      <c r="G46" s="54">
        <f t="shared" si="3"/>
        <v>0.0002890093799832197</v>
      </c>
      <c r="H46" s="55">
        <f t="shared" si="4"/>
        <v>0.1578022658928922</v>
      </c>
      <c r="I46" s="57"/>
    </row>
    <row r="47" spans="1:9" ht="14.25">
      <c r="A47" s="6"/>
      <c r="B47" s="5" t="s">
        <v>50</v>
      </c>
      <c r="C47" s="21">
        <f>'[1]Breakdown (2)'!E91</f>
        <v>15928898</v>
      </c>
      <c r="D47" s="22"/>
      <c r="E47" s="22">
        <f>C47-D47</f>
        <v>15928898</v>
      </c>
      <c r="F47" s="15">
        <f t="shared" si="2"/>
        <v>11752419.911981246</v>
      </c>
      <c r="G47" s="54">
        <f t="shared" si="3"/>
        <v>0.21487052204415164</v>
      </c>
      <c r="H47" s="55">
        <f>+G47*$G$19</f>
        <v>117.32164282738664</v>
      </c>
      <c r="I47" s="5"/>
    </row>
    <row r="48" spans="1:11" ht="14.25">
      <c r="A48" s="6"/>
      <c r="B48" s="5" t="s">
        <v>51</v>
      </c>
      <c r="C48" s="21">
        <f>'[1]Breakdown (2)'!L53-C47</f>
        <v>26579922</v>
      </c>
      <c r="D48" s="22">
        <f>-('[1]Budgeted Revenues'!E58+'[1]Budgeted Revenues'!E59+'[1]Budgeted Revenues'!E72+'[1]Budgeted Revenues'!E69)</f>
        <v>438000</v>
      </c>
      <c r="E48" s="22">
        <f t="shared" si="1"/>
        <v>26141922</v>
      </c>
      <c r="F48" s="15">
        <f t="shared" si="2"/>
        <v>19287639.65029223</v>
      </c>
      <c r="G48" s="54">
        <f t="shared" si="3"/>
        <v>0.35263760414420964</v>
      </c>
      <c r="H48" s="55">
        <f t="shared" si="4"/>
        <v>192.54396855987156</v>
      </c>
      <c r="I48" s="42"/>
      <c r="J48" s="17"/>
      <c r="K48" s="58"/>
    </row>
    <row r="49" spans="1:11" ht="14.25">
      <c r="A49" s="6"/>
      <c r="B49" s="5" t="s">
        <v>52</v>
      </c>
      <c r="C49" s="21">
        <f>'[1]Breakdown (2)'!L39</f>
        <v>17508166</v>
      </c>
      <c r="D49" s="22">
        <f>-'[1]Budgeted Revenues'!F37</f>
        <v>4610339</v>
      </c>
      <c r="E49" s="22">
        <f t="shared" si="1"/>
        <v>12897827</v>
      </c>
      <c r="F49" s="15">
        <f t="shared" si="2"/>
        <v>9516080.701633556</v>
      </c>
      <c r="G49" s="54">
        <f t="shared" si="3"/>
        <v>0.17398333649478792</v>
      </c>
      <c r="H49" s="55">
        <f t="shared" si="4"/>
        <v>94.99679466485527</v>
      </c>
      <c r="I49" s="42"/>
      <c r="J49" s="17"/>
      <c r="K49" s="58"/>
    </row>
    <row r="50" spans="1:11" ht="14.25">
      <c r="A50" s="6"/>
      <c r="B50" s="5" t="s">
        <v>53</v>
      </c>
      <c r="C50" s="21">
        <f>'[1]Breakdown (2)'!L7</f>
        <v>310237</v>
      </c>
      <c r="D50" s="22"/>
      <c r="E50" s="22">
        <f t="shared" si="1"/>
        <v>310237</v>
      </c>
      <c r="F50" s="15">
        <f t="shared" si="2"/>
        <v>228894.39660127938</v>
      </c>
      <c r="G50" s="54">
        <f t="shared" si="3"/>
        <v>0.004184896290214896</v>
      </c>
      <c r="H50" s="55">
        <f t="shared" si="4"/>
        <v>2.284998906128971</v>
      </c>
      <c r="I50" s="17"/>
      <c r="J50" s="17"/>
      <c r="K50" s="58"/>
    </row>
    <row r="51" spans="1:11" ht="14.25">
      <c r="A51" s="6"/>
      <c r="B51" s="56" t="s">
        <v>54</v>
      </c>
      <c r="C51" s="21">
        <f>'[1]Breakdown (2)'!L25</f>
        <v>927639</v>
      </c>
      <c r="D51" s="22"/>
      <c r="E51" s="22">
        <f t="shared" si="1"/>
        <v>927639</v>
      </c>
      <c r="F51" s="15">
        <f t="shared" si="2"/>
        <v>684416.6529743847</v>
      </c>
      <c r="G51" s="54">
        <f t="shared" si="3"/>
        <v>0.01251324957938175</v>
      </c>
      <c r="H51" s="55">
        <f t="shared" si="4"/>
        <v>6.832370414497859</v>
      </c>
      <c r="I51" s="42"/>
      <c r="J51" s="17"/>
      <c r="K51" s="58"/>
    </row>
    <row r="52" spans="1:11" ht="14.25">
      <c r="A52" s="6"/>
      <c r="B52" s="5" t="s">
        <v>55</v>
      </c>
      <c r="C52" s="21">
        <f>'[1]Breakdown (2)'!L56+'[1]Breakdown (2)'!L55</f>
        <v>5161985</v>
      </c>
      <c r="D52" s="22">
        <f>-('[1]Budgeted Revenues'!E38+'[1]Budgeted Revenues'!E39)</f>
        <v>251000</v>
      </c>
      <c r="E52" s="22">
        <f t="shared" si="1"/>
        <v>4910985</v>
      </c>
      <c r="F52" s="15">
        <f t="shared" si="2"/>
        <v>3623349.0792295374</v>
      </c>
      <c r="G52" s="54">
        <f t="shared" si="3"/>
        <v>0.06624600839938821</v>
      </c>
      <c r="H52" s="55">
        <f t="shared" si="4"/>
        <v>36.17104134263735</v>
      </c>
      <c r="I52" s="42"/>
      <c r="J52" s="17"/>
      <c r="K52" s="58"/>
    </row>
    <row r="53" spans="1:11" ht="14.25">
      <c r="A53" s="6"/>
      <c r="B53" s="5" t="s">
        <v>56</v>
      </c>
      <c r="C53" s="21">
        <f>'[1]Breakdown (2)'!L40</f>
        <v>2454116</v>
      </c>
      <c r="D53" s="22"/>
      <c r="E53" s="22">
        <f>C53-D53</f>
        <v>2454116</v>
      </c>
      <c r="F53" s="15">
        <f t="shared" si="2"/>
        <v>1810658.951090764</v>
      </c>
      <c r="G53" s="54">
        <f t="shared" si="3"/>
        <v>0.033104436105806274</v>
      </c>
      <c r="H53" s="55">
        <f t="shared" si="4"/>
        <v>18.07538229003506</v>
      </c>
      <c r="I53" s="17"/>
      <c r="J53" s="17"/>
      <c r="K53" s="58"/>
    </row>
    <row r="54" spans="1:11" ht="14.25">
      <c r="A54" s="6"/>
      <c r="B54" s="8" t="s">
        <v>57</v>
      </c>
      <c r="C54" s="21">
        <f>'[1]Breakdown (2)'!L43</f>
        <v>1584484</v>
      </c>
      <c r="D54" s="22"/>
      <c r="E54" s="22">
        <f>C54-D54</f>
        <v>1584484</v>
      </c>
      <c r="F54" s="15">
        <f t="shared" si="2"/>
        <v>1169040.1502863343</v>
      </c>
      <c r="G54" s="54">
        <f t="shared" si="3"/>
        <v>0.021373663404122844</v>
      </c>
      <c r="H54" s="55">
        <f t="shared" si="4"/>
        <v>11.67025276410891</v>
      </c>
      <c r="I54" s="42"/>
      <c r="J54" s="17"/>
      <c r="K54" s="58"/>
    </row>
    <row r="55" spans="1:11" ht="14.25">
      <c r="A55" s="6"/>
      <c r="B55" s="5" t="s">
        <v>58</v>
      </c>
      <c r="C55" s="21">
        <f>'[1]Breakdown (2)'!L50</f>
        <v>3931516</v>
      </c>
      <c r="D55" s="22"/>
      <c r="E55" s="22">
        <f t="shared" si="1"/>
        <v>3931516</v>
      </c>
      <c r="F55" s="15">
        <f t="shared" si="2"/>
        <v>2900691.9953077016</v>
      </c>
      <c r="G55" s="54">
        <f t="shared" si="3"/>
        <v>0.053033605673470624</v>
      </c>
      <c r="H55" s="55">
        <f t="shared" si="4"/>
        <v>28.95692570334469</v>
      </c>
      <c r="I55" s="42"/>
      <c r="J55" s="17"/>
      <c r="K55" s="58"/>
    </row>
    <row r="56" spans="1:11" ht="14.25">
      <c r="A56" s="6"/>
      <c r="B56" s="8" t="s">
        <v>59</v>
      </c>
      <c r="C56" s="21">
        <f>'[1]Breakdown (2)'!L15</f>
        <v>189406</v>
      </c>
      <c r="D56" s="22"/>
      <c r="E56" s="22">
        <f>C56-D56</f>
        <v>189406</v>
      </c>
      <c r="F56" s="15">
        <f t="shared" si="2"/>
        <v>139744.68578107035</v>
      </c>
      <c r="G56" s="54">
        <f t="shared" si="3"/>
        <v>0.0025549643232252845</v>
      </c>
      <c r="H56" s="55">
        <f t="shared" si="4"/>
        <v>1.395038318492842</v>
      </c>
      <c r="I56" s="17"/>
      <c r="J56" s="17"/>
      <c r="K56" s="58"/>
    </row>
    <row r="57" spans="1:11" ht="14.25">
      <c r="A57" s="6"/>
      <c r="B57" s="5" t="s">
        <v>60</v>
      </c>
      <c r="C57" s="21">
        <f>'[1]Breakdown (2)'!L20</f>
        <v>99008</v>
      </c>
      <c r="D57" s="22"/>
      <c r="E57" s="22">
        <f t="shared" si="1"/>
        <v>99008</v>
      </c>
      <c r="F57" s="15">
        <f t="shared" si="2"/>
        <v>73048.59323259143</v>
      </c>
      <c r="G57" s="54">
        <f t="shared" si="3"/>
        <v>0.0013355538246617794</v>
      </c>
      <c r="H57" s="55">
        <f t="shared" si="4"/>
        <v>0.729226919090944</v>
      </c>
      <c r="I57" s="17"/>
      <c r="J57" s="17"/>
      <c r="K57" s="58"/>
    </row>
    <row r="58" spans="1:11" ht="14.25">
      <c r="A58" s="6"/>
      <c r="B58" s="5" t="s">
        <v>61</v>
      </c>
      <c r="C58" s="21">
        <f>'[1]Breakdown (2)'!L23</f>
        <v>97000</v>
      </c>
      <c r="D58" s="22"/>
      <c r="E58" s="22">
        <f t="shared" si="1"/>
        <v>97000</v>
      </c>
      <c r="F58" s="15">
        <f t="shared" si="2"/>
        <v>71567.08087792268</v>
      </c>
      <c r="G58" s="54">
        <f t="shared" si="3"/>
        <v>0.0013084672045914733</v>
      </c>
      <c r="H58" s="55">
        <f t="shared" si="4"/>
        <v>0.7144373298301304</v>
      </c>
      <c r="I58" s="58"/>
      <c r="J58" s="17"/>
      <c r="K58" s="58"/>
    </row>
    <row r="59" spans="1:11" ht="14.25">
      <c r="A59" s="6"/>
      <c r="B59" s="8" t="s">
        <v>62</v>
      </c>
      <c r="C59" s="21">
        <f>'[1]Breakdown (2)'!L41</f>
        <v>50000</v>
      </c>
      <c r="D59" s="22"/>
      <c r="E59" s="22">
        <f>C59-D59</f>
        <v>50000</v>
      </c>
      <c r="F59" s="15">
        <f t="shared" si="2"/>
        <v>36890.24787521788</v>
      </c>
      <c r="G59" s="54">
        <f t="shared" si="3"/>
        <v>0.0006744676312327182</v>
      </c>
      <c r="H59" s="55">
        <f t="shared" si="4"/>
        <v>0.368266664860892</v>
      </c>
      <c r="I59" s="17"/>
      <c r="J59" s="17"/>
      <c r="K59" s="58"/>
    </row>
    <row r="60" spans="1:11" ht="14.25">
      <c r="A60" s="6"/>
      <c r="B60" s="8" t="s">
        <v>63</v>
      </c>
      <c r="C60" s="21">
        <f>'[1]Breakdown (2)'!L57</f>
        <v>434925</v>
      </c>
      <c r="D60" s="22"/>
      <c r="E60" s="22">
        <f>C60-D60</f>
        <v>434925</v>
      </c>
      <c r="F60" s="15">
        <f t="shared" si="2"/>
        <v>320889.82114258275</v>
      </c>
      <c r="G60" s="54">
        <f t="shared" si="3"/>
        <v>0.0058668566902778</v>
      </c>
      <c r="H60" s="55">
        <f t="shared" si="4"/>
        <v>3.2033675842924696</v>
      </c>
      <c r="I60" s="42"/>
      <c r="J60" s="17"/>
      <c r="K60" s="58"/>
    </row>
    <row r="61" spans="1:11" ht="15" thickBot="1">
      <c r="A61" s="6"/>
      <c r="B61" s="17" t="s">
        <v>64</v>
      </c>
      <c r="C61" s="59">
        <f aca="true" t="shared" si="5" ref="C61:H61">SUM(C41:C60)</f>
        <v>80031881</v>
      </c>
      <c r="D61" s="51">
        <f t="shared" si="5"/>
        <v>5899339</v>
      </c>
      <c r="E61" s="60">
        <f t="shared" si="5"/>
        <v>74132542</v>
      </c>
      <c r="F61" s="61">
        <f t="shared" si="5"/>
        <v>54695357.00000001</v>
      </c>
      <c r="G61" s="62">
        <f t="shared" si="5"/>
        <v>0.9999999999999997</v>
      </c>
      <c r="H61" s="63">
        <f t="shared" si="5"/>
        <v>546.01088</v>
      </c>
      <c r="I61" s="64"/>
      <c r="K61" s="58"/>
    </row>
    <row r="62" spans="1:9" ht="15" thickTop="1">
      <c r="A62" s="6"/>
      <c r="B62" s="5"/>
      <c r="C62" s="21"/>
      <c r="D62" s="22"/>
      <c r="E62" s="49"/>
      <c r="F62" s="5"/>
      <c r="G62" s="5"/>
      <c r="I62" s="5"/>
    </row>
    <row r="63" spans="1:9" ht="14.25">
      <c r="A63" s="6"/>
      <c r="B63" s="49"/>
      <c r="C63" s="65"/>
      <c r="D63" s="66"/>
      <c r="E63" s="5"/>
      <c r="F63" s="5"/>
      <c r="G63" s="5"/>
      <c r="I63" s="5"/>
    </row>
    <row r="64" spans="1:11" ht="14.25">
      <c r="A64" s="12" t="s">
        <v>65</v>
      </c>
      <c r="B64" s="67" t="s">
        <v>66</v>
      </c>
      <c r="C64" s="26" t="s">
        <v>15</v>
      </c>
      <c r="D64" s="29" t="s">
        <v>67</v>
      </c>
      <c r="E64" s="68" t="s">
        <v>68</v>
      </c>
      <c r="F64" s="5"/>
      <c r="G64" s="5"/>
      <c r="I64" s="5"/>
      <c r="J64" s="50"/>
      <c r="K64"/>
    </row>
    <row r="65" spans="1:11" ht="14.25">
      <c r="A65" s="6"/>
      <c r="B65" s="5" t="s">
        <v>19</v>
      </c>
      <c r="C65" s="69">
        <f>E19</f>
        <v>561.71288</v>
      </c>
      <c r="D65" s="57">
        <f>G19</f>
        <v>546.01088</v>
      </c>
      <c r="E65" s="57">
        <f aca="true" t="shared" si="6" ref="E65:E70">+D65-C65</f>
        <v>-15.701999999999998</v>
      </c>
      <c r="F65" s="48"/>
      <c r="G65" s="5"/>
      <c r="I65" s="5"/>
      <c r="J65" s="50"/>
      <c r="K65"/>
    </row>
    <row r="66" spans="1:11" ht="14.25">
      <c r="A66" s="6"/>
      <c r="B66" s="5" t="s">
        <v>20</v>
      </c>
      <c r="C66" s="69">
        <f>E20</f>
        <v>358.54392</v>
      </c>
      <c r="D66" s="57">
        <f>G20</f>
        <v>358.54392</v>
      </c>
      <c r="E66" s="57">
        <f t="shared" si="6"/>
        <v>0</v>
      </c>
      <c r="F66" s="48"/>
      <c r="G66" s="5"/>
      <c r="I66" s="5"/>
      <c r="J66" s="50"/>
      <c r="K66"/>
    </row>
    <row r="67" spans="1:11" ht="14.25">
      <c r="A67" s="6"/>
      <c r="B67" s="5" t="s">
        <v>21</v>
      </c>
      <c r="C67" s="69">
        <f>E21</f>
        <v>55.16904</v>
      </c>
      <c r="D67" s="57">
        <f>G21</f>
        <v>52.6464</v>
      </c>
      <c r="E67" s="57">
        <f t="shared" si="6"/>
        <v>-2.5226400000000027</v>
      </c>
      <c r="F67" s="48"/>
      <c r="G67" s="5"/>
      <c r="I67" s="5"/>
      <c r="J67" s="50"/>
      <c r="K67"/>
    </row>
    <row r="68" spans="1:11" ht="15" thickBot="1">
      <c r="A68" s="6"/>
      <c r="B68" s="17" t="s">
        <v>69</v>
      </c>
      <c r="C68" s="70">
        <f>SUM(C65:C67)</f>
        <v>975.4258400000001</v>
      </c>
      <c r="D68" s="40">
        <f>SUM(D65:D67)</f>
        <v>957.2012000000001</v>
      </c>
      <c r="E68" s="40">
        <f t="shared" si="6"/>
        <v>-18.224640000000022</v>
      </c>
      <c r="F68" s="48"/>
      <c r="G68" s="5"/>
      <c r="I68" s="5"/>
      <c r="J68" s="50"/>
      <c r="K68"/>
    </row>
    <row r="69" spans="1:11" ht="15" thickTop="1">
      <c r="A69" s="6"/>
      <c r="B69" s="5" t="s">
        <v>70</v>
      </c>
      <c r="C69" s="69">
        <f>(C21-2000)*18.95/1000</f>
        <v>2040.536</v>
      </c>
      <c r="D69" s="69">
        <f>(C21-2000)*18.45/1000</f>
        <v>1986.696</v>
      </c>
      <c r="E69" s="57">
        <f t="shared" si="6"/>
        <v>-53.840000000000146</v>
      </c>
      <c r="F69" s="48"/>
      <c r="G69" s="5"/>
      <c r="I69" s="5"/>
      <c r="J69" s="50"/>
      <c r="K69"/>
    </row>
    <row r="70" spans="1:11" ht="14.25">
      <c r="A70" s="6"/>
      <c r="B70" s="5" t="s">
        <v>71</v>
      </c>
      <c r="C70" s="69">
        <f>(C21)*0.5/1000</f>
        <v>54.84</v>
      </c>
      <c r="D70" s="69">
        <f>(C21)*1/1000</f>
        <v>109.68</v>
      </c>
      <c r="E70" s="57">
        <f t="shared" si="6"/>
        <v>54.84</v>
      </c>
      <c r="F70" s="48"/>
      <c r="G70" s="5"/>
      <c r="I70" s="5"/>
      <c r="J70" s="50"/>
      <c r="K70"/>
    </row>
    <row r="71" spans="1:11" ht="15" thickBot="1">
      <c r="A71" s="6"/>
      <c r="B71" s="17" t="s">
        <v>72</v>
      </c>
      <c r="C71" s="71">
        <f>+C69+C70</f>
        <v>2095.376</v>
      </c>
      <c r="D71" s="40">
        <f>SUM(D69:D70)</f>
        <v>2096.3759999999997</v>
      </c>
      <c r="E71" s="40">
        <f>SUM(E69:E70)</f>
        <v>0.9999999999998579</v>
      </c>
      <c r="F71" s="48"/>
      <c r="G71" s="5"/>
      <c r="I71" s="5"/>
      <c r="J71" s="50"/>
      <c r="K71"/>
    </row>
    <row r="72" spans="1:11" ht="6" customHeight="1" thickTop="1">
      <c r="A72" s="6"/>
      <c r="B72" s="5"/>
      <c r="C72" s="72"/>
      <c r="D72" s="42"/>
      <c r="E72" s="57"/>
      <c r="F72" s="5"/>
      <c r="G72" s="5"/>
      <c r="I72" s="5"/>
      <c r="J72" s="50"/>
      <c r="K72"/>
    </row>
    <row r="73" spans="1:11" ht="15" thickBot="1">
      <c r="A73" s="6"/>
      <c r="B73" s="17" t="s">
        <v>73</v>
      </c>
      <c r="C73" s="73">
        <f>+C68+C71+C72</f>
        <v>3070.80184</v>
      </c>
      <c r="D73" s="74">
        <f>+D68+D71+D72</f>
        <v>3053.5771999999997</v>
      </c>
      <c r="E73" s="75">
        <f>+E68+E71+E72</f>
        <v>-17.224640000000164</v>
      </c>
      <c r="F73" s="5"/>
      <c r="G73" s="5"/>
      <c r="I73" s="5"/>
      <c r="J73" s="50"/>
      <c r="K73"/>
    </row>
    <row r="74" spans="1:9" ht="16.5" thickBot="1" thickTop="1">
      <c r="A74" s="19"/>
      <c r="B74" s="76"/>
      <c r="C74" s="77"/>
      <c r="D74" s="78"/>
      <c r="E74" s="76"/>
      <c r="F74" s="76"/>
      <c r="G74" s="5"/>
      <c r="I74" s="5"/>
    </row>
    <row r="75" spans="1:7" ht="15">
      <c r="A75" s="5"/>
      <c r="B75" s="5"/>
      <c r="C75" s="8"/>
      <c r="D75" s="9"/>
      <c r="E75" s="5"/>
      <c r="F75" s="5"/>
      <c r="G75" s="5"/>
    </row>
    <row r="76" ht="15"/>
    <row r="77" ht="15"/>
  </sheetData>
  <sheetProtection/>
  <mergeCells count="1">
    <mergeCell ref="D12:F15"/>
  </mergeCells>
  <dataValidations count="1">
    <dataValidation type="list" allowBlank="1" showInputMessage="1" showErrorMessage="1" sqref="C15">
      <formula1>'2019 Millage Rate'!#REF!</formula1>
    </dataValidation>
  </dataValidations>
  <printOptions/>
  <pageMargins left="0.7" right="0.7" top="0.41" bottom="0.49" header="0.3" footer="0.3"/>
  <pageSetup fitToHeight="1" fitToWidth="1" horizontalDpi="600" verticalDpi="600" orientation="portrait" scale="64" r:id="rId4"/>
  <headerFooter>
    <oddFooter>&amp;L&amp;8&amp;Z&amp;F &amp;A&amp;R&amp;D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Delaine Cagle</dc:creator>
  <cp:keywords/>
  <dc:description/>
  <cp:lastModifiedBy>Kristi Bosch</cp:lastModifiedBy>
  <dcterms:created xsi:type="dcterms:W3CDTF">2019-10-22T14:17:20Z</dcterms:created>
  <dcterms:modified xsi:type="dcterms:W3CDTF">2019-10-22T16:51:19Z</dcterms:modified>
  <cp:category/>
  <cp:version/>
  <cp:contentType/>
  <cp:contentStatus/>
</cp:coreProperties>
</file>